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paloalto365-my.sharepoint.com/personal/jessica_setiawan_cityofpaloalto_org/Documents/Accela/Load Calculator/"/>
    </mc:Choice>
  </mc:AlternateContent>
  <xr:revisionPtr revIDLastSave="105" documentId="8_{B9C17844-49F4-4495-A2F7-1976EE014B2D}" xr6:coauthVersionLast="47" xr6:coauthVersionMax="47" xr10:uidLastSave="{0786E37E-A19F-4CBA-BA05-533F20797FF4}"/>
  <bookViews>
    <workbookView xWindow="-28920" yWindow="-120" windowWidth="29040" windowHeight="15840" tabRatio="500" xr2:uid="{00000000-000D-0000-FFFF-FFFF00000000}"/>
  </bookViews>
  <sheets>
    <sheet name="Corrected load calculations" sheetId="1" r:id="rId1"/>
    <sheet name="Sheet1" sheetId="2" state="hidden" r:id="rId2"/>
  </sheets>
  <definedNames>
    <definedName name="_xlnm.Print_Area" localSheetId="0">'Corrected load calculations'!$A$1:$N$77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5" i="1" l="1" a="1"/>
  <c r="M15" i="1" s="1"/>
  <c r="E63" i="1"/>
  <c r="B64" i="1" l="1"/>
  <c r="L8" i="1"/>
  <c r="M8" i="1" s="1"/>
  <c r="L15" i="1" l="1"/>
  <c r="L9" i="1"/>
  <c r="M9" i="1" s="1"/>
  <c r="L28" i="1"/>
  <c r="M28" i="1" s="1" a="1"/>
  <c r="M28" i="1" s="1"/>
  <c r="B9" i="2" l="1"/>
  <c r="B2" i="2"/>
  <c r="L7" i="1"/>
  <c r="L29" i="1"/>
  <c r="M29" i="1" s="1"/>
  <c r="L30" i="1"/>
  <c r="M30" i="1" s="1"/>
  <c r="L31" i="1"/>
  <c r="M31" i="1" s="1" a="1"/>
  <c r="M31" i="1" s="1"/>
  <c r="L32" i="1"/>
  <c r="M32" i="1" s="1" a="1"/>
  <c r="M32" i="1" s="1"/>
  <c r="L33" i="1"/>
  <c r="M33" i="1" s="1" a="1"/>
  <c r="M33" i="1" s="1"/>
  <c r="L34" i="1"/>
  <c r="M34" i="1" s="1" a="1"/>
  <c r="M34" i="1" s="1"/>
  <c r="L35" i="1"/>
  <c r="M35" i="1" s="1" a="1"/>
  <c r="M35" i="1" s="1"/>
  <c r="L36" i="1"/>
  <c r="M36" i="1" s="1" a="1"/>
  <c r="M36" i="1" s="1"/>
  <c r="L37" i="1"/>
  <c r="M37" i="1" s="1" a="1"/>
  <c r="M37" i="1" s="1"/>
  <c r="L38" i="1"/>
  <c r="M38" i="1" s="1" a="1"/>
  <c r="M38" i="1" s="1"/>
  <c r="L39" i="1"/>
  <c r="M39" i="1" s="1"/>
  <c r="L45" i="1"/>
  <c r="M45" i="1" s="1" a="1"/>
  <c r="M45" i="1" s="1"/>
  <c r="L46" i="1"/>
  <c r="M46" i="1" s="1" a="1"/>
  <c r="M46" i="1" s="1"/>
  <c r="L47" i="1"/>
  <c r="L48" i="1"/>
  <c r="M48" i="1" s="1" a="1"/>
  <c r="M48" i="1" s="1"/>
  <c r="L49" i="1"/>
  <c r="M49" i="1" s="1" a="1"/>
  <c r="M49" i="1" s="1"/>
  <c r="L50" i="1"/>
  <c r="M50" i="1" s="1" a="1"/>
  <c r="M50" i="1" s="1"/>
  <c r="L51" i="1"/>
  <c r="L55" i="1"/>
  <c r="B28" i="2" s="1"/>
  <c r="L16" i="1"/>
  <c r="M16" i="1" s="1" a="1"/>
  <c r="M16" i="1" s="1"/>
  <c r="L17" i="1"/>
  <c r="M17" i="1" s="1" a="1"/>
  <c r="M17" i="1" s="1"/>
  <c r="L18" i="1"/>
  <c r="M18" i="1" s="1" a="1"/>
  <c r="M18" i="1" s="1"/>
  <c r="L19" i="1"/>
  <c r="M19" i="1" s="1" a="1"/>
  <c r="M19" i="1" s="1"/>
  <c r="L20" i="1"/>
  <c r="M20" i="1" s="1" a="1"/>
  <c r="M20" i="1" s="1"/>
  <c r="L22" i="1"/>
  <c r="M22" i="1" s="1" a="1"/>
  <c r="M22" i="1" s="1"/>
  <c r="B63" i="1"/>
  <c r="M51" i="1" l="1" a="1"/>
  <c r="M51" i="1" s="1"/>
  <c r="B27" i="2"/>
  <c r="M55" i="1" s="1" a="1"/>
  <c r="M55" i="1" s="1"/>
  <c r="B23" i="2"/>
  <c r="M47" i="1" a="1"/>
  <c r="M47" i="1" s="1"/>
  <c r="B24" i="2"/>
  <c r="B7" i="2"/>
  <c r="B26" i="2"/>
  <c r="B4" i="2"/>
  <c r="B6" i="2"/>
  <c r="B3" i="2"/>
  <c r="B21" i="2"/>
  <c r="B5" i="2"/>
  <c r="B22" i="2"/>
  <c r="B25" i="2"/>
  <c r="B13" i="2"/>
  <c r="B19" i="2"/>
  <c r="B11" i="2"/>
  <c r="B12" i="2"/>
  <c r="B16" i="2"/>
  <c r="B18" i="2"/>
  <c r="B17" i="2"/>
  <c r="B15" i="2"/>
  <c r="B20" i="2"/>
  <c r="B10" i="2"/>
  <c r="B14" i="2"/>
  <c r="B8" i="2"/>
  <c r="L11" i="1"/>
  <c r="M7" i="1"/>
  <c r="M11" i="1" s="1"/>
  <c r="L41" i="1"/>
  <c r="L53" i="1"/>
  <c r="L24" i="1"/>
  <c r="G60" i="1" l="1"/>
  <c r="M24" i="1"/>
  <c r="G65" i="1" s="1"/>
  <c r="M41" i="1"/>
  <c r="M53" i="1"/>
  <c r="G59" i="1" l="1"/>
  <c r="G61" i="1" l="1"/>
  <c r="G63" i="1" l="1"/>
  <c r="G64" i="1" s="1"/>
  <c r="G67" i="1" s="1"/>
  <c r="G69" i="1" s="1"/>
  <c r="D73" i="1" l="1"/>
  <c r="D7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<sst xmlns="http://schemas.openxmlformats.org/spreadsheetml/2006/main" count="246" uniqueCount="92">
  <si>
    <t>Name:</t>
  </si>
  <si>
    <t>Address:</t>
  </si>
  <si>
    <t>STEP 1</t>
  </si>
  <si>
    <t>Estimate General Electric Load Excluding Heating and AC</t>
  </si>
  <si>
    <t>Square Footage of Structure</t>
  </si>
  <si>
    <t>Watts per square foot</t>
  </si>
  <si>
    <t>=</t>
  </si>
  <si>
    <t># of Small Appliance Circuits (2 min.)</t>
  </si>
  <si>
    <t>Small Appliance Circuits</t>
  </si>
  <si>
    <t>Watts each</t>
  </si>
  <si>
    <t># of Laundry Circuits (1 min.)</t>
  </si>
  <si>
    <t xml:space="preserve">Laundry Circuits </t>
  </si>
  <si>
    <t xml:space="preserve"> </t>
  </si>
  <si>
    <t xml:space="preserve">Step 1 Total = </t>
  </si>
  <si>
    <t>STEP 2</t>
  </si>
  <si>
    <t>Estimate Heating/AC Electric Load</t>
  </si>
  <si>
    <t># of units</t>
  </si>
  <si>
    <t>Common Values</t>
  </si>
  <si>
    <t>A/C Heat  up to 8 kW</t>
  </si>
  <si>
    <t>x</t>
  </si>
  <si>
    <t>A/C Heat up to 15 kW</t>
  </si>
  <si>
    <t>A/C Heat up to 20 kW</t>
  </si>
  <si>
    <t>Cond/Heat Pump to 2 T</t>
  </si>
  <si>
    <t>Cond/Heat Pump to 4 T</t>
  </si>
  <si>
    <t>Cond/Heat Pump to 5 T</t>
  </si>
  <si>
    <t>Other Electric Heating Device</t>
  </si>
  <si>
    <t>Volt Amps from Label</t>
  </si>
  <si>
    <t>Step 2 Total =</t>
  </si>
  <si>
    <t>STEP 3</t>
  </si>
  <si>
    <t>Estimate Other Electric Load</t>
  </si>
  <si>
    <t>Dedicated Equipment</t>
  </si>
  <si>
    <t>Electric Water Heater</t>
  </si>
  <si>
    <t xml:space="preserve"> Volt Amps from Label</t>
  </si>
  <si>
    <t>Refrigerator</t>
  </si>
  <si>
    <t>Freezer</t>
  </si>
  <si>
    <t>Dishwasher</t>
  </si>
  <si>
    <t>Disposal</t>
  </si>
  <si>
    <t>Range Hood</t>
  </si>
  <si>
    <t>Microwave</t>
  </si>
  <si>
    <t>Mini Fridge</t>
  </si>
  <si>
    <t>Instant Hot Water Unit</t>
  </si>
  <si>
    <t>Jacuzzi Tub</t>
  </si>
  <si>
    <t>EVSE</t>
  </si>
  <si>
    <t>Res. Elevator</t>
  </si>
  <si>
    <t>Step 3 Total =</t>
  </si>
  <si>
    <t>STEP 4</t>
  </si>
  <si>
    <t>Major Equipment</t>
  </si>
  <si>
    <t>Cook Range</t>
  </si>
  <si>
    <t>Cook Oven</t>
  </si>
  <si>
    <t>Clothes Dryer</t>
  </si>
  <si>
    <t>Pool Motor</t>
  </si>
  <si>
    <t>Pool Heater</t>
  </si>
  <si>
    <t>Pool Light</t>
  </si>
  <si>
    <t>Patio Heaters</t>
  </si>
  <si>
    <t>Step 4 Total =</t>
  </si>
  <si>
    <t>Heat Pump Water Heater</t>
  </si>
  <si>
    <t>STEP 5</t>
  </si>
  <si>
    <t xml:space="preserve"> (Box 1)</t>
  </si>
  <si>
    <t>Heat Pump Water Heater Electrical Load</t>
  </si>
  <si>
    <t xml:space="preserve"> (Box 2)</t>
  </si>
  <si>
    <t xml:space="preserve"> (Box 3)</t>
  </si>
  <si>
    <t xml:space="preserve"> (Box 4)</t>
  </si>
  <si>
    <t xml:space="preserve"> (Box 5)</t>
  </si>
  <si>
    <t xml:space="preserve"> (Box 6)</t>
  </si>
  <si>
    <t xml:space="preserve"> (Box 7)</t>
  </si>
  <si>
    <t xml:space="preserve"> (Box "A")</t>
  </si>
  <si>
    <t xml:space="preserve"> (Box "B")</t>
  </si>
  <si>
    <t xml:space="preserve">NOTE: </t>
  </si>
  <si>
    <t>For One-Family Dwellings, the service disconnecting means shall have a rating of not less than 100 amps, 3-wire.</t>
  </si>
  <si>
    <t>A/C Condenser &amp; Fixed Space Heating</t>
  </si>
  <si>
    <t>Estimate Major Equipment Load</t>
  </si>
  <si>
    <t xml:space="preserve">General Lighting Load </t>
  </si>
  <si>
    <t>Watts (Volt Amps)</t>
  </si>
  <si>
    <t>Determine If Electric Service Panel Requires Upgrade</t>
  </si>
  <si>
    <t>HINT: USE TAB KEY OR SHIFT+TAB TO MOVE BETWEEN CELLS</t>
  </si>
  <si>
    <t>Final Watts
(Volt Amps)</t>
  </si>
  <si>
    <t xml:space="preserve">         New Construction?</t>
  </si>
  <si>
    <t>x 1.25</t>
  </si>
  <si>
    <t>Yes</t>
  </si>
  <si>
    <t>No</t>
  </si>
  <si>
    <t>N/A</t>
  </si>
  <si>
    <t>Device</t>
  </si>
  <si>
    <t>Voltamps</t>
  </si>
  <si>
    <t>Preliminary Watts (Volt Amps)</t>
  </si>
  <si>
    <t>Not Available to Share</t>
  </si>
  <si>
    <r>
      <t xml:space="preserve">Total General Load  excl Heating/AC </t>
    </r>
    <r>
      <rPr>
        <sz val="9"/>
        <color theme="1"/>
        <rFont val="Calibri"/>
        <family val="2"/>
        <scheme val="minor"/>
      </rPr>
      <t>(Add Steps 1, 3 and 4 Totals)</t>
    </r>
  </si>
  <si>
    <r>
      <t xml:space="preserve">General Service Load </t>
    </r>
    <r>
      <rPr>
        <sz val="9"/>
        <color theme="1"/>
        <rFont val="Calibri"/>
        <family val="2"/>
        <scheme val="minor"/>
      </rPr>
      <t>(Add Box 1 + Box 2)</t>
    </r>
  </si>
  <si>
    <r>
      <t xml:space="preserve">Heating/Cooling Load at 100% </t>
    </r>
    <r>
      <rPr>
        <sz val="9"/>
        <color theme="1"/>
        <rFont val="Calibri"/>
        <family val="2"/>
        <scheme val="minor"/>
      </rPr>
      <t>(from Step 2 Total)</t>
    </r>
  </si>
  <si>
    <r>
      <rPr>
        <b/>
        <sz val="12"/>
        <color theme="1"/>
        <rFont val="Calibri"/>
        <family val="2"/>
        <scheme val="minor"/>
      </rPr>
      <t xml:space="preserve">TOTAL ADJUSTED HOUSE LOAD </t>
    </r>
    <r>
      <rPr>
        <sz val="9"/>
        <color theme="1"/>
        <rFont val="Calibri"/>
        <family val="2"/>
        <scheme val="minor"/>
      </rPr>
      <t>(Add Box 4 + Box 5 + Box 6)</t>
    </r>
  </si>
  <si>
    <r>
      <t xml:space="preserve">Minimum Service Ampacity </t>
    </r>
    <r>
      <rPr>
        <sz val="9"/>
        <rFont val="Calibri"/>
        <family val="2"/>
        <scheme val="minor"/>
      </rPr>
      <t>(Box 7 divided by 240)</t>
    </r>
  </si>
  <si>
    <t>Enter Your Existing or Proposed Electrical Service Size (amps)</t>
  </si>
  <si>
    <t>Circuit Shared / Paused With:
(please select all shared)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</si>
</sst>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29"/>
      <scheme val="minor"/>
    </font>
    <font>
      <b/>
      <sz val="12"/>
      <color theme="1"/>
      <name val="Calibri"/>
      <family val="2"/>
      <charset val="129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charset val="129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3" fontId="2" fillId="3" borderId="9" xfId="0" applyNumberFormat="1" applyFont="1" applyFill="1" applyBorder="1" applyAlignment="1" applyProtection="1">
      <alignment horizontal="center" vertical="center"/>
      <protection hidden="1"/>
    </xf>
    <xf numFmtId="0" fontId="3" fillId="3" borderId="6" xfId="0" applyFont="1" applyFill="1" applyBorder="1" applyAlignment="1" applyProtection="1">
      <alignment vertical="center"/>
      <protection hidden="1"/>
    </xf>
    <xf numFmtId="0" fontId="2" fillId="3" borderId="7" xfId="0" applyFont="1" applyFill="1" applyBorder="1" applyAlignment="1" applyProtection="1">
      <alignment vertical="center"/>
      <protection hidden="1"/>
    </xf>
    <xf numFmtId="0" fontId="2" fillId="3" borderId="10" xfId="0" applyFont="1" applyFill="1" applyBorder="1" applyAlignment="1" applyProtection="1">
      <alignment vertical="center"/>
      <protection hidden="1"/>
    </xf>
    <xf numFmtId="3" fontId="2" fillId="3" borderId="11" xfId="0" applyNumberFormat="1" applyFont="1" applyFill="1" applyBorder="1" applyAlignment="1" applyProtection="1">
      <alignment horizontal="center" vertical="center"/>
      <protection hidden="1"/>
    </xf>
    <xf numFmtId="3" fontId="2" fillId="3" borderId="9" xfId="0" applyNumberFormat="1" applyFont="1" applyFill="1" applyBorder="1" applyAlignment="1" applyProtection="1">
      <alignment vertical="center"/>
      <protection hidden="1"/>
    </xf>
    <xf numFmtId="4" fontId="2" fillId="3" borderId="9" xfId="0" applyNumberFormat="1" applyFont="1" applyFill="1" applyBorder="1" applyAlignment="1" applyProtection="1">
      <alignment vertical="center"/>
      <protection hidden="1"/>
    </xf>
    <xf numFmtId="164" fontId="2" fillId="3" borderId="9" xfId="0" applyNumberFormat="1" applyFont="1" applyFill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3" fillId="2" borderId="8" xfId="0" applyFont="1" applyFill="1" applyBorder="1" applyAlignment="1" applyProtection="1">
      <alignment vertical="center"/>
      <protection hidden="1"/>
    </xf>
    <xf numFmtId="3" fontId="7" fillId="0" borderId="17" xfId="0" applyNumberFormat="1" applyFont="1" applyBorder="1" applyAlignment="1" applyProtection="1">
      <alignment horizontal="center" vertical="center"/>
      <protection hidden="1"/>
    </xf>
    <xf numFmtId="3" fontId="2" fillId="0" borderId="17" xfId="0" applyNumberFormat="1" applyFont="1" applyBorder="1" applyAlignment="1" applyProtection="1">
      <alignment horizontal="center" vertical="center"/>
      <protection hidden="1"/>
    </xf>
    <xf numFmtId="3" fontId="0" fillId="0" borderId="17" xfId="0" applyNumberFormat="1" applyBorder="1" applyAlignment="1" applyProtection="1">
      <alignment horizontal="center" vertical="center"/>
      <protection hidden="1"/>
    </xf>
    <xf numFmtId="0" fontId="0" fillId="0" borderId="16" xfId="0" applyBorder="1" applyAlignment="1">
      <alignment vertical="center"/>
    </xf>
    <xf numFmtId="0" fontId="0" fillId="4" borderId="9" xfId="0" applyFill="1" applyBorder="1" applyAlignment="1" applyProtection="1">
      <alignment horizontal="center" vertical="center"/>
      <protection locked="0"/>
    </xf>
    <xf numFmtId="3" fontId="2" fillId="4" borderId="9" xfId="0" applyNumberFormat="1" applyFont="1" applyFill="1" applyBorder="1" applyAlignment="1" applyProtection="1">
      <alignment horizontal="center" vertical="center"/>
      <protection locked="0" hidden="1"/>
    </xf>
    <xf numFmtId="0" fontId="2" fillId="4" borderId="9" xfId="0" applyFont="1" applyFill="1" applyBorder="1" applyAlignment="1" applyProtection="1">
      <alignment horizontal="center" vertical="center"/>
      <protection locked="0" hidden="1"/>
    </xf>
    <xf numFmtId="3" fontId="2" fillId="3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3" fontId="2" fillId="3" borderId="0" xfId="0" applyNumberFormat="1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2" xfId="0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0" fillId="0" borderId="13" xfId="0" applyBorder="1"/>
    <xf numFmtId="0" fontId="12" fillId="0" borderId="0" xfId="0" applyFont="1" applyAlignment="1" applyProtection="1">
      <alignment vertical="center"/>
      <protection hidden="1"/>
    </xf>
    <xf numFmtId="0" fontId="13" fillId="0" borderId="5" xfId="0" applyFont="1" applyBorder="1"/>
    <xf numFmtId="0" fontId="13" fillId="0" borderId="0" xfId="0" applyFont="1" applyAlignment="1" applyProtection="1">
      <alignment vertical="center"/>
      <protection hidden="1"/>
    </xf>
    <xf numFmtId="0" fontId="13" fillId="0" borderId="0" xfId="0" applyFont="1"/>
    <xf numFmtId="0" fontId="11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  <protection hidden="1"/>
    </xf>
    <xf numFmtId="0" fontId="11" fillId="0" borderId="19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vertical="center"/>
      <protection hidden="1"/>
    </xf>
    <xf numFmtId="3" fontId="3" fillId="4" borderId="12" xfId="0" applyNumberFormat="1" applyFont="1" applyFill="1" applyBorder="1" applyAlignment="1" applyProtection="1">
      <alignment vertical="center"/>
      <protection locked="0" hidden="1"/>
    </xf>
    <xf numFmtId="0" fontId="14" fillId="3" borderId="0" xfId="0" applyFont="1" applyFill="1" applyAlignment="1" applyProtection="1">
      <alignment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4" fillId="3" borderId="0" xfId="0" quotePrefix="1" applyFont="1" applyFill="1" applyAlignment="1" applyProtection="1">
      <alignment horizontal="center" vertical="center"/>
      <protection hidden="1"/>
    </xf>
    <xf numFmtId="0" fontId="14" fillId="0" borderId="0" xfId="0" quotePrefix="1" applyFont="1" applyAlignment="1" applyProtection="1">
      <alignment horizontal="center" vertical="center"/>
      <protection hidden="1"/>
    </xf>
    <xf numFmtId="0" fontId="16" fillId="4" borderId="9" xfId="0" applyFont="1" applyFill="1" applyBorder="1" applyAlignment="1" applyProtection="1">
      <alignment horizontal="center" vertical="center"/>
      <protection locked="0" hidden="1"/>
    </xf>
    <xf numFmtId="3" fontId="0" fillId="0" borderId="0" xfId="0" applyNumberFormat="1"/>
    <xf numFmtId="0" fontId="18" fillId="2" borderId="9" xfId="0" applyFont="1" applyFill="1" applyBorder="1" applyAlignment="1">
      <alignment horizontal="center" vertical="center"/>
    </xf>
    <xf numFmtId="0" fontId="3" fillId="0" borderId="0" xfId="0" applyFont="1" applyProtection="1">
      <protection hidden="1"/>
    </xf>
    <xf numFmtId="0" fontId="2" fillId="0" borderId="0" xfId="0" applyFont="1"/>
    <xf numFmtId="0" fontId="9" fillId="0" borderId="0" xfId="0" applyFont="1"/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27" xfId="0" applyFont="1" applyFill="1" applyBorder="1" applyAlignment="1" applyProtection="1">
      <alignment horizontal="center" vertical="center"/>
      <protection hidden="1"/>
    </xf>
    <xf numFmtId="0" fontId="8" fillId="3" borderId="28" xfId="0" applyFont="1" applyFill="1" applyBorder="1" applyAlignment="1" applyProtection="1">
      <alignment horizontal="center" vertical="center"/>
      <protection hidden="1"/>
    </xf>
    <xf numFmtId="0" fontId="8" fillId="3" borderId="5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8" fillId="3" borderId="8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16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4" fillId="4" borderId="3" xfId="0" applyFont="1" applyFill="1" applyBorder="1" applyAlignment="1" applyProtection="1">
      <alignment vertical="center"/>
      <protection locked="0"/>
    </xf>
    <xf numFmtId="0" fontId="4" fillId="4" borderId="4" xfId="0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vertical="center" wrapText="1"/>
      <protection locked="0"/>
    </xf>
    <xf numFmtId="0" fontId="4" fillId="4" borderId="7" xfId="0" applyFont="1" applyFill="1" applyBorder="1" applyAlignment="1" applyProtection="1">
      <alignment vertical="center" wrapText="1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2" fillId="0" borderId="18" xfId="0" applyFont="1" applyBorder="1" applyAlignment="1" applyProtection="1">
      <alignment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vertical="center"/>
      <protection hidden="1"/>
    </xf>
    <xf numFmtId="0" fontId="0" fillId="0" borderId="0" xfId="0"/>
    <xf numFmtId="0" fontId="5" fillId="2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2" fillId="0" borderId="8" xfId="0" applyFont="1" applyBorder="1" applyAlignment="1" applyProtection="1">
      <alignment vertical="center"/>
      <protection hidden="1"/>
    </xf>
    <xf numFmtId="0" fontId="0" fillId="0" borderId="18" xfId="0" applyBorder="1" applyAlignment="1" applyProtection="1">
      <alignment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10" fillId="0" borderId="2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0" fillId="0" borderId="0" xfId="0" quotePrefix="1" applyAlignment="1" applyProtection="1">
      <alignment horizontal="left" vertical="center"/>
      <protection hidden="1"/>
    </xf>
    <xf numFmtId="0" fontId="0" fillId="0" borderId="16" xfId="0" quotePrefix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16" xfId="0" applyBorder="1" applyAlignment="1" applyProtection="1">
      <alignment horizontal="left" vertical="center"/>
      <protection hidden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942975</xdr:colOff>
      <xdr:row>58</xdr:row>
      <xdr:rowOff>19050</xdr:rowOff>
    </xdr:from>
    <xdr:to>
      <xdr:col>13</xdr:col>
      <xdr:colOff>36643</xdr:colOff>
      <xdr:row>71</xdr:row>
      <xdr:rowOff>38468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F5C027-0647-48BD-8383-F6FC95329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0050" y="12344400"/>
          <a:ext cx="3210373" cy="2638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7"/>
  <sheetViews>
    <sheetView tabSelected="1" view="pageLayout" topLeftCell="A58" zoomScaleNormal="100" workbookViewId="0">
      <selection activeCell="G71" sqref="G71"/>
    </sheetView>
  </sheetViews>
  <sheetFormatPr defaultColWidth="11" defaultRowHeight="15.75"/>
  <cols>
    <col min="1" max="1" width="1.625" customWidth="1"/>
    <col min="2" max="2" width="9.5" customWidth="1"/>
    <col min="3" max="3" width="21.375" customWidth="1"/>
    <col min="4" max="4" width="19.25" customWidth="1"/>
    <col min="5" max="5" width="12.25" customWidth="1"/>
    <col min="6" max="6" width="4.875" customWidth="1"/>
    <col min="7" max="7" width="16.5" customWidth="1"/>
    <col min="8" max="8" width="8.5" customWidth="1"/>
    <col min="9" max="9" width="11.75" customWidth="1"/>
    <col min="10" max="10" width="6.5" customWidth="1"/>
    <col min="11" max="11" width="6" customWidth="1"/>
    <col min="12" max="12" width="14.875" customWidth="1"/>
    <col min="13" max="13" width="13.5" customWidth="1"/>
    <col min="14" max="14" width="12.25" customWidth="1"/>
    <col min="15" max="15" width="3.375" customWidth="1"/>
    <col min="16" max="16" width="11" hidden="1" customWidth="1"/>
    <col min="17" max="17" width="11" customWidth="1"/>
  </cols>
  <sheetData>
    <row r="1" spans="1:16" ht="38.25" customHeight="1" thickBo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6" ht="17.45" customHeight="1">
      <c r="A2" s="31"/>
      <c r="B2" s="30" t="s">
        <v>0</v>
      </c>
      <c r="C2" s="91"/>
      <c r="D2" s="92"/>
      <c r="E2" s="93"/>
      <c r="F2" s="93"/>
      <c r="G2" s="93"/>
      <c r="H2" s="93"/>
      <c r="I2" s="93"/>
      <c r="J2" s="114" t="s">
        <v>74</v>
      </c>
      <c r="K2" s="115"/>
      <c r="L2" s="115"/>
      <c r="M2" s="115"/>
      <c r="N2" s="116"/>
    </row>
    <row r="3" spans="1:16" ht="16.899999999999999" customHeight="1" thickBot="1">
      <c r="A3" s="32"/>
      <c r="B3" s="14" t="s">
        <v>1</v>
      </c>
      <c r="C3" s="94"/>
      <c r="D3" s="95"/>
      <c r="E3" s="96"/>
      <c r="F3" s="96"/>
      <c r="G3" s="96"/>
      <c r="H3" s="96"/>
      <c r="I3" s="96"/>
      <c r="J3" s="117"/>
      <c r="K3" s="118"/>
      <c r="L3" s="118"/>
      <c r="M3" s="118"/>
      <c r="N3" s="119"/>
    </row>
    <row r="4" spans="1:16" ht="10.5" customHeight="1" thickTop="1">
      <c r="A4" s="3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70"/>
    </row>
    <row r="5" spans="1:16">
      <c r="A5" s="32"/>
      <c r="B5" s="23" t="s">
        <v>2</v>
      </c>
      <c r="C5" s="107" t="s">
        <v>3</v>
      </c>
      <c r="D5" s="107"/>
      <c r="E5" s="68"/>
      <c r="F5" s="68"/>
      <c r="G5" s="68"/>
      <c r="H5" s="68"/>
      <c r="I5" s="68"/>
      <c r="J5" s="68"/>
      <c r="K5" s="68"/>
      <c r="L5" s="68"/>
      <c r="M5" s="68"/>
      <c r="N5" s="70"/>
    </row>
    <row r="6" spans="1:16" ht="25.5">
      <c r="A6" s="32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24" t="s">
        <v>72</v>
      </c>
      <c r="M6" s="24" t="s">
        <v>75</v>
      </c>
      <c r="N6" s="110"/>
    </row>
    <row r="7" spans="1:16">
      <c r="A7" s="32"/>
      <c r="B7" s="79" t="s">
        <v>4</v>
      </c>
      <c r="C7" s="79"/>
      <c r="D7" s="112"/>
      <c r="E7" s="16"/>
      <c r="F7" s="102" t="s">
        <v>71</v>
      </c>
      <c r="G7" s="68"/>
      <c r="H7" s="1">
        <v>3</v>
      </c>
      <c r="I7" s="108" t="s">
        <v>5</v>
      </c>
      <c r="J7" s="109"/>
      <c r="K7" s="51" t="s">
        <v>6</v>
      </c>
      <c r="L7" s="1">
        <f>E7*H7</f>
        <v>0</v>
      </c>
      <c r="M7" s="1">
        <f>L7</f>
        <v>0</v>
      </c>
      <c r="N7" s="70"/>
    </row>
    <row r="8" spans="1:16">
      <c r="A8" s="32"/>
      <c r="B8" s="72" t="s">
        <v>7</v>
      </c>
      <c r="C8" s="72"/>
      <c r="D8" s="113"/>
      <c r="E8" s="17"/>
      <c r="F8" s="111" t="s">
        <v>8</v>
      </c>
      <c r="G8" s="68"/>
      <c r="H8" s="1">
        <v>1500</v>
      </c>
      <c r="I8" s="108" t="s">
        <v>9</v>
      </c>
      <c r="J8" s="109"/>
      <c r="K8" s="51" t="s">
        <v>6</v>
      </c>
      <c r="L8" s="1">
        <f>E8*H8</f>
        <v>0</v>
      </c>
      <c r="M8" s="1">
        <f t="shared" ref="M8:M9" si="0">L8</f>
        <v>0</v>
      </c>
      <c r="N8" s="70"/>
    </row>
    <row r="9" spans="1:16">
      <c r="A9" s="32"/>
      <c r="B9" s="72" t="s">
        <v>10</v>
      </c>
      <c r="C9" s="72"/>
      <c r="D9" s="113"/>
      <c r="E9" s="17"/>
      <c r="F9" s="111" t="s">
        <v>11</v>
      </c>
      <c r="G9" s="68"/>
      <c r="H9" s="1">
        <v>1500</v>
      </c>
      <c r="I9" s="108" t="s">
        <v>9</v>
      </c>
      <c r="J9" s="109"/>
      <c r="K9" s="51" t="s">
        <v>6</v>
      </c>
      <c r="L9" s="1">
        <f>E9*H9</f>
        <v>0</v>
      </c>
      <c r="M9" s="1">
        <f t="shared" si="0"/>
        <v>0</v>
      </c>
      <c r="N9" s="70"/>
    </row>
    <row r="10" spans="1:16">
      <c r="A10" s="32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5"/>
    </row>
    <row r="11" spans="1:16">
      <c r="A11" s="32"/>
      <c r="B11" s="71" t="s">
        <v>76</v>
      </c>
      <c r="C11" s="71"/>
      <c r="D11" s="103"/>
      <c r="E11" s="15"/>
      <c r="F11" s="102"/>
      <c r="G11" s="69"/>
      <c r="H11" s="85" t="s">
        <v>13</v>
      </c>
      <c r="I11" s="86"/>
      <c r="J11" s="86"/>
      <c r="K11" s="87"/>
      <c r="L11" s="1">
        <f>L7+L8+L9</f>
        <v>0</v>
      </c>
      <c r="M11" s="1">
        <f>M7+M8+M9</f>
        <v>0</v>
      </c>
      <c r="N11" s="9"/>
      <c r="P11" t="s">
        <v>78</v>
      </c>
    </row>
    <row r="12" spans="1:16" ht="10.5" customHeight="1">
      <c r="A12" s="32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5"/>
      <c r="P12" t="s">
        <v>79</v>
      </c>
    </row>
    <row r="13" spans="1:16">
      <c r="A13" s="32"/>
      <c r="B13" s="25" t="s">
        <v>14</v>
      </c>
      <c r="C13" s="25" t="s">
        <v>15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10"/>
    </row>
    <row r="14" spans="1:16" s="37" customFormat="1" ht="38.25">
      <c r="A14" s="35"/>
      <c r="B14" s="127" t="s">
        <v>69</v>
      </c>
      <c r="C14" s="127"/>
      <c r="D14" s="42" t="s">
        <v>91</v>
      </c>
      <c r="E14" s="41" t="s">
        <v>16</v>
      </c>
      <c r="F14" s="36"/>
      <c r="G14" s="45" t="s">
        <v>72</v>
      </c>
      <c r="H14" s="104"/>
      <c r="I14" s="104"/>
      <c r="J14" s="105"/>
      <c r="K14" s="105"/>
      <c r="L14" s="39" t="s">
        <v>83</v>
      </c>
      <c r="M14" s="24" t="s">
        <v>75</v>
      </c>
      <c r="N14" s="44" t="s">
        <v>17</v>
      </c>
    </row>
    <row r="15" spans="1:16">
      <c r="A15" s="32"/>
      <c r="B15" s="83" t="s">
        <v>18</v>
      </c>
      <c r="C15" s="84"/>
      <c r="D15" s="52"/>
      <c r="E15" s="17"/>
      <c r="F15" s="26" t="s">
        <v>19</v>
      </c>
      <c r="G15" s="16"/>
      <c r="H15" s="48" t="s">
        <v>32</v>
      </c>
      <c r="I15" s="22"/>
      <c r="J15" s="22"/>
      <c r="K15" s="50" t="s">
        <v>6</v>
      </c>
      <c r="L15" s="1">
        <f>E15*G15</f>
        <v>0</v>
      </c>
      <c r="M15" s="18" cm="1">
        <f t="array" ref="M15">IFERROR(IF(ISTEXT(D15),_xlfn.IFS('Corrected load calculations'!L15&gt;VLOOKUP(D15,Sheet1!A:B,2,FALSE),L15,'Corrected load calculations'!L15=VLOOKUP(D15,Sheet1!A:B,2,FALSE),L15/2),L15),0)</f>
        <v>0</v>
      </c>
      <c r="N15" s="13">
        <v>8000</v>
      </c>
      <c r="P15" s="21" t="s">
        <v>18</v>
      </c>
    </row>
    <row r="16" spans="1:16">
      <c r="A16" s="32"/>
      <c r="B16" s="83" t="s">
        <v>20</v>
      </c>
      <c r="C16" s="84"/>
      <c r="D16" s="52"/>
      <c r="E16" s="17"/>
      <c r="F16" s="26" t="s">
        <v>19</v>
      </c>
      <c r="G16" s="16"/>
      <c r="H16" s="48" t="s">
        <v>32</v>
      </c>
      <c r="I16" s="22"/>
      <c r="J16" s="22"/>
      <c r="K16" s="50" t="s">
        <v>6</v>
      </c>
      <c r="L16" s="1">
        <f t="shared" ref="L16:L20" si="1">E16*G16</f>
        <v>0</v>
      </c>
      <c r="M16" s="18" cm="1">
        <f t="array" ref="M16">IFERROR(IF(ISTEXT(D16),_xlfn.IFS('Corrected load calculations'!L16&gt;VLOOKUP(D16,Sheet1!A:B,2,FALSE),L16,'Corrected load calculations'!L16=VLOOKUP(D16,Sheet1!A:B,2,FALSE),L16/2),L16),0)</f>
        <v>0</v>
      </c>
      <c r="N16" s="13">
        <v>14000</v>
      </c>
      <c r="P16" s="21" t="s">
        <v>20</v>
      </c>
    </row>
    <row r="17" spans="1:16">
      <c r="A17" s="32"/>
      <c r="B17" s="83" t="s">
        <v>21</v>
      </c>
      <c r="C17" s="84"/>
      <c r="D17" s="52"/>
      <c r="E17" s="17"/>
      <c r="F17" s="26" t="s">
        <v>19</v>
      </c>
      <c r="G17" s="16"/>
      <c r="H17" s="48" t="s">
        <v>32</v>
      </c>
      <c r="I17" s="22"/>
      <c r="J17" s="22"/>
      <c r="K17" s="50" t="s">
        <v>6</v>
      </c>
      <c r="L17" s="1">
        <f t="shared" si="1"/>
        <v>0</v>
      </c>
      <c r="M17" s="18" cm="1">
        <f t="array" ref="M17">IFERROR(IF(ISTEXT(D17),_xlfn.IFS('Corrected load calculations'!L17&gt;VLOOKUP(D17,Sheet1!A:B,2,FALSE),L17,'Corrected load calculations'!L17=VLOOKUP(D17,Sheet1!A:B,2,FALSE),L17/2),L17),0)</f>
        <v>0</v>
      </c>
      <c r="N17" s="13">
        <v>20000</v>
      </c>
      <c r="P17" s="21" t="s">
        <v>21</v>
      </c>
    </row>
    <row r="18" spans="1:16">
      <c r="A18" s="32"/>
      <c r="B18" s="83" t="s">
        <v>22</v>
      </c>
      <c r="C18" s="84"/>
      <c r="D18" s="52"/>
      <c r="E18" s="17"/>
      <c r="F18" s="26" t="s">
        <v>19</v>
      </c>
      <c r="G18" s="16"/>
      <c r="H18" s="48" t="s">
        <v>32</v>
      </c>
      <c r="I18" s="22"/>
      <c r="J18" s="22"/>
      <c r="K18" s="50" t="s">
        <v>6</v>
      </c>
      <c r="L18" s="1">
        <f t="shared" si="1"/>
        <v>0</v>
      </c>
      <c r="M18" s="18" cm="1">
        <f t="array" ref="M18">IFERROR(IF(ISTEXT(D18),_xlfn.IFS('Corrected load calculations'!L18&gt;VLOOKUP(D18,Sheet1!A:B,2,FALSE),L18,'Corrected load calculations'!L18=VLOOKUP(D18,Sheet1!A:B,2,FALSE),L18/2),L18),0)</f>
        <v>0</v>
      </c>
      <c r="N18" s="13">
        <v>2000</v>
      </c>
      <c r="P18" s="21" t="s">
        <v>49</v>
      </c>
    </row>
    <row r="19" spans="1:16">
      <c r="A19" s="32"/>
      <c r="B19" s="83" t="s">
        <v>23</v>
      </c>
      <c r="C19" s="84"/>
      <c r="D19" s="52"/>
      <c r="E19" s="17"/>
      <c r="F19" s="26" t="s">
        <v>19</v>
      </c>
      <c r="G19" s="16"/>
      <c r="H19" s="48" t="s">
        <v>32</v>
      </c>
      <c r="I19" s="22"/>
      <c r="J19" s="22"/>
      <c r="K19" s="50" t="s">
        <v>6</v>
      </c>
      <c r="L19" s="1">
        <f t="shared" si="1"/>
        <v>0</v>
      </c>
      <c r="M19" s="18" cm="1">
        <f t="array" ref="M19">IFERROR(IF(ISTEXT(D19),_xlfn.IFS('Corrected load calculations'!L19&gt;VLOOKUP(D19,Sheet1!A:B,2,FALSE),L19,'Corrected load calculations'!L19=VLOOKUP(D19,Sheet1!A:B,2,FALSE),L19/2),L19),0)</f>
        <v>0</v>
      </c>
      <c r="N19" s="13">
        <v>4000</v>
      </c>
      <c r="P19" s="21" t="s">
        <v>22</v>
      </c>
    </row>
    <row r="20" spans="1:16">
      <c r="A20" s="32"/>
      <c r="B20" s="83" t="s">
        <v>24</v>
      </c>
      <c r="C20" s="84"/>
      <c r="D20" s="52"/>
      <c r="E20" s="17"/>
      <c r="F20" s="26" t="s">
        <v>19</v>
      </c>
      <c r="G20" s="16"/>
      <c r="H20" s="48" t="s">
        <v>32</v>
      </c>
      <c r="I20" s="22"/>
      <c r="J20" s="22"/>
      <c r="K20" s="50" t="s">
        <v>6</v>
      </c>
      <c r="L20" s="1">
        <f t="shared" si="1"/>
        <v>0</v>
      </c>
      <c r="M20" s="18" cm="1">
        <f t="array" ref="M20">IFERROR(IF(ISTEXT(D20),_xlfn.IFS('Corrected load calculations'!L20&gt;VLOOKUP(D20,Sheet1!A:B,2,FALSE),L20,'Corrected load calculations'!L20=VLOOKUP(D20,Sheet1!A:B,2,FALSE),L20/2),L20),0)</f>
        <v>0</v>
      </c>
      <c r="N20" s="13">
        <v>7000</v>
      </c>
      <c r="P20" s="21" t="s">
        <v>23</v>
      </c>
    </row>
    <row r="21" spans="1:16">
      <c r="A21" s="32"/>
      <c r="B21" s="67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1"/>
      <c r="P21" s="21" t="s">
        <v>24</v>
      </c>
    </row>
    <row r="22" spans="1:16">
      <c r="A22" s="32"/>
      <c r="B22" s="83" t="s">
        <v>25</v>
      </c>
      <c r="C22" s="84"/>
      <c r="D22" s="52"/>
      <c r="E22" s="17"/>
      <c r="F22" s="26" t="s">
        <v>19</v>
      </c>
      <c r="G22" s="16"/>
      <c r="H22" s="48" t="s">
        <v>26</v>
      </c>
      <c r="I22" s="22"/>
      <c r="J22" s="22"/>
      <c r="K22" s="50" t="s">
        <v>6</v>
      </c>
      <c r="L22" s="1">
        <f>E22*G22</f>
        <v>0</v>
      </c>
      <c r="M22" s="18" cm="1">
        <f t="array" ref="M22">IFERROR(IF(ISTEXT(D22),_xlfn.IFS('Corrected load calculations'!L22&gt;VLOOKUP(D22,Sheet1!A:B,2,FALSE),L22,'Corrected load calculations'!L22=VLOOKUP(D22,Sheet1!A:B,2,FALSE),L22/2),L22),0)</f>
        <v>0</v>
      </c>
      <c r="N22" s="12">
        <v>1500</v>
      </c>
      <c r="P22" s="21" t="s">
        <v>47</v>
      </c>
    </row>
    <row r="23" spans="1:16">
      <c r="A23" s="32"/>
      <c r="B23" s="67"/>
      <c r="C23" s="100"/>
      <c r="D23" s="100"/>
      <c r="E23" s="100"/>
      <c r="F23" s="100"/>
      <c r="G23" s="100"/>
      <c r="H23" s="22"/>
      <c r="I23" s="22"/>
      <c r="J23" s="22"/>
      <c r="K23" s="22"/>
      <c r="L23" s="22"/>
      <c r="M23" s="22"/>
      <c r="N23" s="46"/>
      <c r="P23" s="21" t="s">
        <v>48</v>
      </c>
    </row>
    <row r="24" spans="1:16">
      <c r="A24" s="32"/>
      <c r="B24" s="100"/>
      <c r="C24" s="100"/>
      <c r="D24" s="100"/>
      <c r="E24" s="100"/>
      <c r="F24" s="100"/>
      <c r="G24" s="100"/>
      <c r="H24" s="88" t="s">
        <v>27</v>
      </c>
      <c r="I24" s="89"/>
      <c r="J24" s="89"/>
      <c r="K24" s="90"/>
      <c r="L24" s="1">
        <f>L15+L16+L17+L18+L19+L20+L22</f>
        <v>0</v>
      </c>
      <c r="M24" s="1">
        <f>M15+M16+M17+M18+M19+M20+M22</f>
        <v>0</v>
      </c>
      <c r="N24" s="19"/>
      <c r="P24" s="21" t="s">
        <v>35</v>
      </c>
    </row>
    <row r="25" spans="1:16" ht="10.15" customHeight="1">
      <c r="A25" s="32"/>
      <c r="B25" s="100"/>
      <c r="C25" s="100"/>
      <c r="D25" s="100"/>
      <c r="E25" s="100"/>
      <c r="F25" s="100"/>
      <c r="G25" s="100"/>
      <c r="H25" s="67"/>
      <c r="I25" s="68"/>
      <c r="J25" s="68"/>
      <c r="K25" s="68"/>
      <c r="L25" s="68"/>
      <c r="M25" s="68"/>
      <c r="N25" s="70"/>
      <c r="P25" s="21" t="s">
        <v>36</v>
      </c>
    </row>
    <row r="26" spans="1:16">
      <c r="A26" s="32"/>
      <c r="B26" s="25" t="s">
        <v>28</v>
      </c>
      <c r="C26" s="25" t="s">
        <v>29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10"/>
      <c r="P26" s="21" t="s">
        <v>31</v>
      </c>
    </row>
    <row r="27" spans="1:16" ht="38.25">
      <c r="A27" s="32"/>
      <c r="B27" s="127" t="s">
        <v>30</v>
      </c>
      <c r="C27" s="127"/>
      <c r="D27" s="42" t="s">
        <v>91</v>
      </c>
      <c r="E27" s="41" t="s">
        <v>16</v>
      </c>
      <c r="F27" s="34"/>
      <c r="G27" s="45" t="s">
        <v>72</v>
      </c>
      <c r="H27" s="104"/>
      <c r="I27" s="104"/>
      <c r="J27" s="105"/>
      <c r="K27" s="105"/>
      <c r="L27" s="39" t="s">
        <v>83</v>
      </c>
      <c r="M27" s="24" t="s">
        <v>75</v>
      </c>
      <c r="N27" s="44" t="s">
        <v>17</v>
      </c>
      <c r="P27" s="21" t="s">
        <v>42</v>
      </c>
    </row>
    <row r="28" spans="1:16">
      <c r="A28" s="32"/>
      <c r="B28" s="83" t="s">
        <v>31</v>
      </c>
      <c r="C28" s="84"/>
      <c r="D28" s="52"/>
      <c r="E28" s="17"/>
      <c r="F28" s="26" t="s">
        <v>19</v>
      </c>
      <c r="G28" s="16"/>
      <c r="H28" s="48" t="s">
        <v>32</v>
      </c>
      <c r="I28" s="22"/>
      <c r="J28" s="22"/>
      <c r="K28" s="50" t="s">
        <v>6</v>
      </c>
      <c r="L28" s="1">
        <f>E28*G28</f>
        <v>0</v>
      </c>
      <c r="M28" s="18" cm="1">
        <f t="array" ref="M28">IFERROR(IF(ISTEXT(D28),_xlfn.IFS('Corrected load calculations'!L28&gt;VLOOKUP(D28,Sheet1!A:B,2,FALSE),L28,'Corrected load calculations'!L28=VLOOKUP(D28,Sheet1!A:B,2,FALSE),L28/2),L28),0)</f>
        <v>0</v>
      </c>
      <c r="N28" s="11">
        <v>4500</v>
      </c>
      <c r="P28" s="21" t="s">
        <v>55</v>
      </c>
    </row>
    <row r="29" spans="1:16">
      <c r="A29" s="32"/>
      <c r="B29" s="83" t="s">
        <v>33</v>
      </c>
      <c r="C29" s="84"/>
      <c r="D29" s="54" t="s">
        <v>84</v>
      </c>
      <c r="E29" s="17"/>
      <c r="F29" s="26" t="s">
        <v>19</v>
      </c>
      <c r="G29" s="16"/>
      <c r="H29" s="48" t="s">
        <v>32</v>
      </c>
      <c r="I29" s="22"/>
      <c r="J29" s="22"/>
      <c r="K29" s="50" t="s">
        <v>6</v>
      </c>
      <c r="L29" s="1">
        <f t="shared" ref="L29:L39" si="2">E29*G29</f>
        <v>0</v>
      </c>
      <c r="M29" s="18">
        <f>L29</f>
        <v>0</v>
      </c>
      <c r="N29" s="11">
        <v>1400</v>
      </c>
      <c r="P29" s="20" t="s">
        <v>40</v>
      </c>
    </row>
    <row r="30" spans="1:16">
      <c r="A30" s="32"/>
      <c r="B30" s="83" t="s">
        <v>34</v>
      </c>
      <c r="C30" s="84"/>
      <c r="D30" s="54" t="s">
        <v>84</v>
      </c>
      <c r="E30" s="17"/>
      <c r="F30" s="26" t="s">
        <v>19</v>
      </c>
      <c r="G30" s="16"/>
      <c r="H30" s="48" t="s">
        <v>32</v>
      </c>
      <c r="I30" s="22"/>
      <c r="J30" s="22"/>
      <c r="K30" s="50" t="s">
        <v>6</v>
      </c>
      <c r="L30" s="1">
        <f t="shared" si="2"/>
        <v>0</v>
      </c>
      <c r="M30" s="18">
        <f>L30</f>
        <v>0</v>
      </c>
      <c r="N30" s="11">
        <v>600</v>
      </c>
      <c r="P30" s="21" t="s">
        <v>41</v>
      </c>
    </row>
    <row r="31" spans="1:16">
      <c r="A31" s="32"/>
      <c r="B31" s="83" t="s">
        <v>35</v>
      </c>
      <c r="C31" s="84"/>
      <c r="D31" s="52"/>
      <c r="E31" s="17"/>
      <c r="F31" s="26" t="s">
        <v>19</v>
      </c>
      <c r="G31" s="16"/>
      <c r="H31" s="48" t="s">
        <v>32</v>
      </c>
      <c r="I31" s="22"/>
      <c r="J31" s="22"/>
      <c r="K31" s="50" t="s">
        <v>6</v>
      </c>
      <c r="L31" s="1">
        <f t="shared" si="2"/>
        <v>0</v>
      </c>
      <c r="M31" s="18" cm="1">
        <f t="array" ref="M31">IFERROR(IF(ISTEXT(D31),_xlfn.IFS('Corrected load calculations'!L31&gt;VLOOKUP(D31,Sheet1!A:B,2,FALSE),L31,'Corrected load calculations'!L31=VLOOKUP(D31,Sheet1!A:B,2,FALSE),L31/2),L31),0)</f>
        <v>0</v>
      </c>
      <c r="N31" s="11">
        <v>1200</v>
      </c>
      <c r="P31" s="21" t="s">
        <v>38</v>
      </c>
    </row>
    <row r="32" spans="1:16">
      <c r="A32" s="32"/>
      <c r="B32" s="83" t="s">
        <v>36</v>
      </c>
      <c r="C32" s="84"/>
      <c r="D32" s="52"/>
      <c r="E32" s="17"/>
      <c r="F32" s="26" t="s">
        <v>19</v>
      </c>
      <c r="G32" s="16"/>
      <c r="H32" s="48" t="s">
        <v>32</v>
      </c>
      <c r="I32" s="22"/>
      <c r="J32" s="22"/>
      <c r="K32" s="50" t="s">
        <v>6</v>
      </c>
      <c r="L32" s="1">
        <f t="shared" si="2"/>
        <v>0</v>
      </c>
      <c r="M32" s="18" cm="1">
        <f t="array" ref="M32">IFERROR(IF(ISTEXT(D32),_xlfn.IFS('Corrected load calculations'!L32&gt;VLOOKUP(D32,Sheet1!A:B,2,FALSE),L32,'Corrected load calculations'!L32=VLOOKUP(D32,Sheet1!A:B,2,FALSE),L32/2),L32),0)</f>
        <v>0</v>
      </c>
      <c r="N32" s="11">
        <v>800</v>
      </c>
      <c r="P32" s="21" t="s">
        <v>39</v>
      </c>
    </row>
    <row r="33" spans="1:16">
      <c r="A33" s="32"/>
      <c r="B33" s="83" t="s">
        <v>37</v>
      </c>
      <c r="C33" s="84"/>
      <c r="D33" s="52"/>
      <c r="E33" s="17"/>
      <c r="F33" s="26" t="s">
        <v>19</v>
      </c>
      <c r="G33" s="16"/>
      <c r="H33" s="48" t="s">
        <v>32</v>
      </c>
      <c r="I33" s="22"/>
      <c r="J33" s="22"/>
      <c r="K33" s="50" t="s">
        <v>6</v>
      </c>
      <c r="L33" s="1">
        <f t="shared" si="2"/>
        <v>0</v>
      </c>
      <c r="M33" s="18" cm="1">
        <f t="array" ref="M33">IFERROR(IF(ISTEXT(D33),_xlfn.IFS('Corrected load calculations'!L33&gt;VLOOKUP(D33,Sheet1!A:B,2,FALSE),L33,'Corrected load calculations'!L33=VLOOKUP(D33,Sheet1!A:B,2,FALSE),L33/2),L33),0)</f>
        <v>0</v>
      </c>
      <c r="N33" s="11">
        <v>600</v>
      </c>
      <c r="P33" s="21" t="s">
        <v>25</v>
      </c>
    </row>
    <row r="34" spans="1:16">
      <c r="A34" s="32"/>
      <c r="B34" s="83" t="s">
        <v>38</v>
      </c>
      <c r="C34" s="84"/>
      <c r="D34" s="52"/>
      <c r="E34" s="17"/>
      <c r="F34" s="26" t="s">
        <v>19</v>
      </c>
      <c r="G34" s="16"/>
      <c r="H34" s="48" t="s">
        <v>32</v>
      </c>
      <c r="I34" s="22"/>
      <c r="J34" s="22"/>
      <c r="K34" s="50" t="s">
        <v>6</v>
      </c>
      <c r="L34" s="1">
        <f t="shared" si="2"/>
        <v>0</v>
      </c>
      <c r="M34" s="18" cm="1">
        <f t="array" ref="M34">IFERROR(IF(ISTEXT(D34),_xlfn.IFS('Corrected load calculations'!L34&gt;VLOOKUP(D34,Sheet1!A:B,2,FALSE),L34,'Corrected load calculations'!L34=VLOOKUP(D34,Sheet1!A:B,2,FALSE),L34/2),L34),0)</f>
        <v>0</v>
      </c>
      <c r="N34" s="11">
        <v>1500</v>
      </c>
      <c r="P34" s="21" t="s">
        <v>53</v>
      </c>
    </row>
    <row r="35" spans="1:16">
      <c r="A35" s="32"/>
      <c r="B35" s="83" t="s">
        <v>39</v>
      </c>
      <c r="C35" s="84"/>
      <c r="D35" s="52"/>
      <c r="E35" s="17"/>
      <c r="F35" s="26" t="s">
        <v>19</v>
      </c>
      <c r="G35" s="16"/>
      <c r="H35" s="48" t="s">
        <v>32</v>
      </c>
      <c r="I35" s="22"/>
      <c r="J35" s="22"/>
      <c r="K35" s="50" t="s">
        <v>6</v>
      </c>
      <c r="L35" s="1">
        <f t="shared" si="2"/>
        <v>0</v>
      </c>
      <c r="M35" s="18" cm="1">
        <f t="array" ref="M35">IFERROR(IF(ISTEXT(D35),_xlfn.IFS('Corrected load calculations'!L35&gt;VLOOKUP(D35,Sheet1!A:B,2,FALSE),L35,'Corrected load calculations'!L35=VLOOKUP(D35,Sheet1!A:B,2,FALSE),L35/2),L35),0)</f>
        <v>0</v>
      </c>
      <c r="N35" s="11">
        <v>900</v>
      </c>
      <c r="P35" s="21" t="s">
        <v>51</v>
      </c>
    </row>
    <row r="36" spans="1:16">
      <c r="A36" s="32"/>
      <c r="B36" s="77" t="s">
        <v>40</v>
      </c>
      <c r="C36" s="78"/>
      <c r="D36" s="52"/>
      <c r="E36" s="17"/>
      <c r="F36" s="26" t="s">
        <v>19</v>
      </c>
      <c r="G36" s="16"/>
      <c r="H36" s="48" t="s">
        <v>32</v>
      </c>
      <c r="I36" s="22"/>
      <c r="J36" s="22"/>
      <c r="K36" s="50" t="s">
        <v>6</v>
      </c>
      <c r="L36" s="1">
        <f t="shared" si="2"/>
        <v>0</v>
      </c>
      <c r="M36" s="18" cm="1">
        <f t="array" ref="M36">IFERROR(IF(ISTEXT(D36),_xlfn.IFS('Corrected load calculations'!L36&gt;VLOOKUP(D36,Sheet1!A:B,2,FALSE),L36,'Corrected load calculations'!L36=VLOOKUP(D36,Sheet1!A:B,2,FALSE),L36/2),L36),0)</f>
        <v>0</v>
      </c>
      <c r="N36" s="11" t="s">
        <v>80</v>
      </c>
      <c r="P36" s="21" t="s">
        <v>52</v>
      </c>
    </row>
    <row r="37" spans="1:16">
      <c r="A37" s="32"/>
      <c r="B37" s="83" t="s">
        <v>41</v>
      </c>
      <c r="C37" s="84"/>
      <c r="D37" s="52"/>
      <c r="E37" s="17"/>
      <c r="F37" s="26" t="s">
        <v>19</v>
      </c>
      <c r="G37" s="16"/>
      <c r="H37" s="48" t="s">
        <v>32</v>
      </c>
      <c r="I37" s="22"/>
      <c r="J37" s="22"/>
      <c r="K37" s="50" t="s">
        <v>6</v>
      </c>
      <c r="L37" s="1">
        <f t="shared" si="2"/>
        <v>0</v>
      </c>
      <c r="M37" s="18" cm="1">
        <f t="array" ref="M37">IFERROR(IF(ISTEXT(D37),_xlfn.IFS('Corrected load calculations'!L37&gt;VLOOKUP(D37,Sheet1!A:B,2,FALSE),L37,'Corrected load calculations'!L37=VLOOKUP(D37,Sheet1!A:B,2,FALSE),L37/2),L37),0)</f>
        <v>0</v>
      </c>
      <c r="N37" s="11">
        <v>800</v>
      </c>
      <c r="P37" s="21" t="s">
        <v>50</v>
      </c>
    </row>
    <row r="38" spans="1:16">
      <c r="A38" s="32"/>
      <c r="B38" s="83" t="s">
        <v>42</v>
      </c>
      <c r="C38" s="84"/>
      <c r="D38" s="52"/>
      <c r="E38" s="17"/>
      <c r="F38" s="26" t="s">
        <v>19</v>
      </c>
      <c r="G38" s="16"/>
      <c r="H38" s="48" t="s">
        <v>32</v>
      </c>
      <c r="I38" s="22"/>
      <c r="J38" s="49" t="s">
        <v>77</v>
      </c>
      <c r="K38" s="50" t="s">
        <v>6</v>
      </c>
      <c r="L38" s="1">
        <f>E38*G38*1.25</f>
        <v>0</v>
      </c>
      <c r="M38" s="18" cm="1">
        <f t="array" ref="M38">IFERROR(IF(ISTEXT(D38),_xlfn.IFS('Corrected load calculations'!L38&gt;VLOOKUP(D38,Sheet1!A:B,2,FALSE),L38,'Corrected load calculations'!L38=VLOOKUP(D38,Sheet1!A:B,2,FALSE),L38/2),L38),0)</f>
        <v>0</v>
      </c>
      <c r="N38" s="11" t="s">
        <v>80</v>
      </c>
      <c r="P38" s="21" t="s">
        <v>37</v>
      </c>
    </row>
    <row r="39" spans="1:16">
      <c r="A39" s="32"/>
      <c r="B39" s="83" t="s">
        <v>43</v>
      </c>
      <c r="C39" s="84"/>
      <c r="D39" s="54" t="s">
        <v>84</v>
      </c>
      <c r="E39" s="17"/>
      <c r="F39" s="26" t="s">
        <v>19</v>
      </c>
      <c r="G39" s="16"/>
      <c r="H39" s="48" t="s">
        <v>32</v>
      </c>
      <c r="I39" s="22"/>
      <c r="J39" s="22"/>
      <c r="K39" s="50" t="s">
        <v>6</v>
      </c>
      <c r="L39" s="1">
        <f t="shared" si="2"/>
        <v>0</v>
      </c>
      <c r="M39" s="18">
        <f>L39</f>
        <v>0</v>
      </c>
      <c r="N39" s="11" t="s">
        <v>80</v>
      </c>
      <c r="P39" s="21"/>
    </row>
    <row r="40" spans="1:16">
      <c r="A40" s="32"/>
      <c r="B40" s="67"/>
      <c r="C40" s="100"/>
      <c r="D40" s="100"/>
      <c r="E40" s="100"/>
      <c r="F40" s="100"/>
      <c r="G40" s="100"/>
      <c r="H40" s="72"/>
      <c r="I40" s="72"/>
      <c r="J40" s="72"/>
      <c r="K40" s="72"/>
      <c r="L40" s="72"/>
      <c r="M40" s="72"/>
      <c r="N40" s="73"/>
      <c r="P40" s="21"/>
    </row>
    <row r="41" spans="1:16">
      <c r="A41" s="32"/>
      <c r="B41" s="100"/>
      <c r="C41" s="100"/>
      <c r="D41" s="100"/>
      <c r="E41" s="100"/>
      <c r="F41" s="100"/>
      <c r="G41" s="100"/>
      <c r="H41" s="2" t="s">
        <v>44</v>
      </c>
      <c r="I41" s="3"/>
      <c r="J41" s="3"/>
      <c r="K41" s="4"/>
      <c r="L41" s="1">
        <f>L28+L29+L30+L31+L32+L33+L34+L35+L36+L37+L38+L39</f>
        <v>0</v>
      </c>
      <c r="M41" s="1">
        <f>M28+M29+M30+M31+M32+M33+M34+M35+M36+M37+M38+M39</f>
        <v>0</v>
      </c>
      <c r="N41" s="9"/>
      <c r="P41" s="21"/>
    </row>
    <row r="42" spans="1:16" ht="10.15" customHeight="1">
      <c r="A42" s="32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1"/>
      <c r="P42" s="21"/>
    </row>
    <row r="43" spans="1:16">
      <c r="A43" s="32"/>
      <c r="B43" s="25" t="s">
        <v>45</v>
      </c>
      <c r="C43" s="25" t="s">
        <v>70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10"/>
      <c r="P43" s="21"/>
    </row>
    <row r="44" spans="1:16" s="37" customFormat="1" ht="38.25">
      <c r="A44" s="35"/>
      <c r="B44" s="126" t="s">
        <v>46</v>
      </c>
      <c r="C44" s="126"/>
      <c r="D44" s="42" t="s">
        <v>91</v>
      </c>
      <c r="E44" s="39" t="s">
        <v>16</v>
      </c>
      <c r="F44" s="40"/>
      <c r="G44" s="38" t="s">
        <v>72</v>
      </c>
      <c r="H44" s="97"/>
      <c r="I44" s="98"/>
      <c r="J44" s="99"/>
      <c r="K44" s="99"/>
      <c r="L44" s="39" t="s">
        <v>83</v>
      </c>
      <c r="M44" s="24" t="s">
        <v>75</v>
      </c>
      <c r="N44" s="43" t="s">
        <v>17</v>
      </c>
      <c r="P44"/>
    </row>
    <row r="45" spans="1:16">
      <c r="A45" s="32"/>
      <c r="B45" s="83" t="s">
        <v>47</v>
      </c>
      <c r="C45" s="84"/>
      <c r="D45" s="52"/>
      <c r="E45" s="17"/>
      <c r="F45" s="26" t="s">
        <v>19</v>
      </c>
      <c r="G45" s="16"/>
      <c r="H45" s="48" t="s">
        <v>32</v>
      </c>
      <c r="I45" s="22"/>
      <c r="J45" s="22"/>
      <c r="K45" s="50" t="s">
        <v>6</v>
      </c>
      <c r="L45" s="1">
        <f>E45*G45</f>
        <v>0</v>
      </c>
      <c r="M45" s="18" cm="1">
        <f t="array" ref="M45">IFERROR(IF(ISTEXT(D45),_xlfn.IFS('Corrected load calculations'!L45&gt;VLOOKUP(D45,Sheet1!A:B,2,FALSE),L45,'Corrected load calculations'!L45=VLOOKUP(D45,Sheet1!A:B,2,FALSE),L45/2),L45),0)</f>
        <v>0</v>
      </c>
      <c r="N45" s="11">
        <v>8000</v>
      </c>
    </row>
    <row r="46" spans="1:16">
      <c r="A46" s="32"/>
      <c r="B46" s="83" t="s">
        <v>48</v>
      </c>
      <c r="C46" s="84"/>
      <c r="D46" s="52"/>
      <c r="E46" s="17"/>
      <c r="F46" s="26" t="s">
        <v>19</v>
      </c>
      <c r="G46" s="16"/>
      <c r="H46" s="48" t="s">
        <v>32</v>
      </c>
      <c r="I46" s="22"/>
      <c r="J46" s="21"/>
      <c r="K46" s="50" t="s">
        <v>6</v>
      </c>
      <c r="L46" s="1">
        <f t="shared" ref="L46:L51" si="3">E46*G46</f>
        <v>0</v>
      </c>
      <c r="M46" s="18" cm="1">
        <f t="array" ref="M46">IFERROR(IF(ISTEXT(D46),_xlfn.IFS('Corrected load calculations'!L46&gt;VLOOKUP(D46,Sheet1!A:B,2,FALSE),L46,'Corrected load calculations'!L46=VLOOKUP(D46,Sheet1!A:B,2,FALSE),L46/2),L46),0)</f>
        <v>0</v>
      </c>
      <c r="N46" s="11">
        <v>5000</v>
      </c>
    </row>
    <row r="47" spans="1:16">
      <c r="A47" s="32"/>
      <c r="B47" s="83" t="s">
        <v>49</v>
      </c>
      <c r="C47" s="84"/>
      <c r="D47" s="52"/>
      <c r="E47" s="17"/>
      <c r="F47" s="26" t="s">
        <v>19</v>
      </c>
      <c r="G47" s="16"/>
      <c r="H47" s="48" t="s">
        <v>32</v>
      </c>
      <c r="I47" s="22"/>
      <c r="J47" s="22"/>
      <c r="K47" s="50" t="s">
        <v>6</v>
      </c>
      <c r="L47" s="1">
        <f t="shared" si="3"/>
        <v>0</v>
      </c>
      <c r="M47" s="18" cm="1">
        <f t="array" ref="M47">IFERROR(IF(ISTEXT(D47),_xlfn.IFS('Corrected load calculations'!L47&gt;VLOOKUP(D47,Sheet1!A:B,2,FALSE),L47,'Corrected load calculations'!L47=VLOOKUP(D47,Sheet1!A:B,2,FALSE),L47/2),L47),0)</f>
        <v>0</v>
      </c>
      <c r="N47" s="11">
        <v>5000</v>
      </c>
      <c r="P47" s="37"/>
    </row>
    <row r="48" spans="1:16">
      <c r="A48" s="32"/>
      <c r="B48" s="83" t="s">
        <v>50</v>
      </c>
      <c r="C48" s="84"/>
      <c r="D48" s="52"/>
      <c r="E48" s="17"/>
      <c r="F48" s="26" t="s">
        <v>19</v>
      </c>
      <c r="G48" s="16"/>
      <c r="H48" s="48" t="s">
        <v>32</v>
      </c>
      <c r="I48" s="22"/>
      <c r="J48" s="22"/>
      <c r="K48" s="50" t="s">
        <v>6</v>
      </c>
      <c r="L48" s="1">
        <f t="shared" si="3"/>
        <v>0</v>
      </c>
      <c r="M48" s="18" cm="1">
        <f t="array" ref="M48">IFERROR(IF(ISTEXT(D48),_xlfn.IFS('Corrected load calculations'!L48&gt;VLOOKUP(D48,Sheet1!A:B,2,FALSE),L48,'Corrected load calculations'!L48=VLOOKUP(D48,Sheet1!A:B,2,FALSE),L48/2),L48),0)</f>
        <v>0</v>
      </c>
      <c r="N48" s="11" t="s">
        <v>80</v>
      </c>
    </row>
    <row r="49" spans="1:14">
      <c r="A49" s="32"/>
      <c r="B49" s="83" t="s">
        <v>51</v>
      </c>
      <c r="C49" s="84"/>
      <c r="D49" s="52"/>
      <c r="E49" s="17"/>
      <c r="F49" s="26" t="s">
        <v>19</v>
      </c>
      <c r="G49" s="16"/>
      <c r="H49" s="48" t="s">
        <v>32</v>
      </c>
      <c r="I49" s="22"/>
      <c r="J49" s="22"/>
      <c r="K49" s="50" t="s">
        <v>6</v>
      </c>
      <c r="L49" s="1">
        <f t="shared" si="3"/>
        <v>0</v>
      </c>
      <c r="M49" s="18" cm="1">
        <f t="array" ref="M49">IFERROR(IF(ISTEXT(D49),_xlfn.IFS('Corrected load calculations'!L49&gt;VLOOKUP(D49,Sheet1!A:B,2,FALSE),L49,'Corrected load calculations'!L49=VLOOKUP(D49,Sheet1!A:B,2,FALSE),L49/2),L49),0)</f>
        <v>0</v>
      </c>
      <c r="N49" s="11" t="s">
        <v>80</v>
      </c>
    </row>
    <row r="50" spans="1:14">
      <c r="A50" s="32"/>
      <c r="B50" s="83" t="s">
        <v>52</v>
      </c>
      <c r="C50" s="84"/>
      <c r="D50" s="52"/>
      <c r="E50" s="17"/>
      <c r="F50" s="26" t="s">
        <v>19</v>
      </c>
      <c r="G50" s="16"/>
      <c r="H50" s="48" t="s">
        <v>32</v>
      </c>
      <c r="I50" s="22"/>
      <c r="J50" s="22"/>
      <c r="K50" s="50" t="s">
        <v>6</v>
      </c>
      <c r="L50" s="1">
        <f t="shared" si="3"/>
        <v>0</v>
      </c>
      <c r="M50" s="18" cm="1">
        <f t="array" ref="M50">IFERROR(IF(ISTEXT(D50),_xlfn.IFS('Corrected load calculations'!L50&gt;VLOOKUP(D50,Sheet1!A:B,2,FALSE),L50,'Corrected load calculations'!L50=VLOOKUP(D50,Sheet1!A:B,2,FALSE),L50/2),L50),0)</f>
        <v>0</v>
      </c>
      <c r="N50" s="11">
        <v>300</v>
      </c>
    </row>
    <row r="51" spans="1:14">
      <c r="A51" s="32"/>
      <c r="B51" s="83" t="s">
        <v>53</v>
      </c>
      <c r="C51" s="84"/>
      <c r="D51" s="52"/>
      <c r="E51" s="17"/>
      <c r="F51" s="26" t="s">
        <v>19</v>
      </c>
      <c r="G51" s="16"/>
      <c r="H51" s="48" t="s">
        <v>32</v>
      </c>
      <c r="I51" s="22"/>
      <c r="J51" s="22"/>
      <c r="K51" s="50" t="s">
        <v>6</v>
      </c>
      <c r="L51" s="1">
        <f t="shared" si="3"/>
        <v>0</v>
      </c>
      <c r="M51" s="18" cm="1">
        <f t="array" ref="M51">IFERROR(IF(ISTEXT(D51),_xlfn.IFS('Corrected load calculations'!L51&gt;VLOOKUP(D51,Sheet1!A:B,2,FALSE),L51,'Corrected load calculations'!L51=VLOOKUP(D51,Sheet1!A:B,2,FALSE),L51/2),L51),0)</f>
        <v>0</v>
      </c>
      <c r="N51" s="11">
        <v>1500</v>
      </c>
    </row>
    <row r="52" spans="1:14">
      <c r="A52" s="32"/>
      <c r="B52" s="72"/>
      <c r="C52" s="72"/>
      <c r="D52" s="72"/>
      <c r="E52" s="72"/>
      <c r="F52" s="72"/>
      <c r="G52" s="72"/>
      <c r="H52" s="22"/>
      <c r="I52" s="22"/>
      <c r="J52" s="22"/>
      <c r="K52" s="22"/>
      <c r="L52" s="22"/>
      <c r="M52" s="22"/>
      <c r="N52" s="9"/>
    </row>
    <row r="53" spans="1:14">
      <c r="A53" s="32"/>
      <c r="B53" s="72"/>
      <c r="C53" s="72"/>
      <c r="D53" s="72"/>
      <c r="E53" s="72"/>
      <c r="F53" s="72"/>
      <c r="G53" s="72"/>
      <c r="H53" s="2" t="s">
        <v>54</v>
      </c>
      <c r="I53" s="3"/>
      <c r="J53" s="3"/>
      <c r="K53" s="4"/>
      <c r="L53" s="1">
        <f>L45+L46+L47+L48+L49+L50+L51</f>
        <v>0</v>
      </c>
      <c r="M53" s="1">
        <f>M45+M46+M47+M48+M49+M50+M51</f>
        <v>0</v>
      </c>
      <c r="N53" s="9"/>
    </row>
    <row r="54" spans="1:14">
      <c r="A54" s="32"/>
      <c r="B54" s="72"/>
      <c r="C54" s="72"/>
      <c r="D54" s="72"/>
      <c r="E54" s="72"/>
      <c r="F54" s="72"/>
      <c r="G54" s="72"/>
      <c r="H54" s="28"/>
      <c r="I54" s="22"/>
      <c r="J54" s="22"/>
      <c r="K54" s="22"/>
      <c r="L54" s="5"/>
      <c r="M54" s="27"/>
      <c r="N54" s="9"/>
    </row>
    <row r="55" spans="1:14">
      <c r="A55" s="32"/>
      <c r="B55" s="83" t="s">
        <v>55</v>
      </c>
      <c r="C55" s="84"/>
      <c r="D55" s="52"/>
      <c r="E55" s="16"/>
      <c r="F55" s="26" t="s">
        <v>19</v>
      </c>
      <c r="G55" s="16"/>
      <c r="H55" s="48" t="s">
        <v>32</v>
      </c>
      <c r="I55" s="22"/>
      <c r="J55" s="22"/>
      <c r="K55" s="50" t="s">
        <v>6</v>
      </c>
      <c r="L55" s="1">
        <f>E55*G55</f>
        <v>0</v>
      </c>
      <c r="M55" s="1" cm="1">
        <f t="array" ref="M55">IFERROR(IF(ISTEXT(D55),_xlfn.IFS('Corrected load calculations'!L55&gt;VLOOKUP(D55,Sheet1!A:B,2,FALSE),L55,'Corrected load calculations'!L55=VLOOKUP(D55,Sheet1!A:B,2,FALSE),L55/2),L55),0)</f>
        <v>0</v>
      </c>
      <c r="N55" s="11" t="s">
        <v>80</v>
      </c>
    </row>
    <row r="56" spans="1:14" ht="10.15" customHeight="1">
      <c r="A56" s="3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3"/>
    </row>
    <row r="57" spans="1:14">
      <c r="A57" s="32"/>
      <c r="B57" s="25" t="s">
        <v>56</v>
      </c>
      <c r="C57" s="25" t="s">
        <v>73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10"/>
    </row>
    <row r="58" spans="1:14" ht="11.45" customHeight="1">
      <c r="A58" s="32"/>
      <c r="B58" s="67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70"/>
    </row>
    <row r="59" spans="1:14">
      <c r="A59" s="32"/>
      <c r="B59" s="67" t="s">
        <v>85</v>
      </c>
      <c r="C59" s="68"/>
      <c r="D59" s="68"/>
      <c r="E59" s="68"/>
      <c r="F59" s="69"/>
      <c r="G59" s="6">
        <f>M11+M41+M53</f>
        <v>0</v>
      </c>
      <c r="H59" s="21" t="s">
        <v>57</v>
      </c>
      <c r="I59" s="71" t="s">
        <v>12</v>
      </c>
      <c r="J59" s="71" t="s">
        <v>12</v>
      </c>
      <c r="K59" s="71"/>
      <c r="L59" s="71"/>
      <c r="M59" s="71"/>
      <c r="N59" s="76"/>
    </row>
    <row r="60" spans="1:14">
      <c r="A60" s="32"/>
      <c r="B60" s="67" t="s">
        <v>58</v>
      </c>
      <c r="C60" s="68"/>
      <c r="D60" s="68"/>
      <c r="E60" s="68"/>
      <c r="F60" s="69"/>
      <c r="G60" s="6">
        <f>M55</f>
        <v>0</v>
      </c>
      <c r="H60" s="21" t="s">
        <v>59</v>
      </c>
      <c r="I60" s="71"/>
      <c r="J60" s="71"/>
      <c r="K60" s="71"/>
      <c r="L60" s="71"/>
      <c r="M60" s="71"/>
      <c r="N60" s="76"/>
    </row>
    <row r="61" spans="1:14">
      <c r="A61" s="32"/>
      <c r="B61" s="67" t="s">
        <v>86</v>
      </c>
      <c r="C61" s="68"/>
      <c r="D61" s="68"/>
      <c r="E61" s="68"/>
      <c r="F61" s="69"/>
      <c r="G61" s="6">
        <f>G59+G60</f>
        <v>0</v>
      </c>
      <c r="H61" s="21" t="s">
        <v>60</v>
      </c>
      <c r="I61" s="71"/>
      <c r="J61" s="71"/>
      <c r="K61" s="71"/>
      <c r="L61" s="71"/>
      <c r="M61" s="71"/>
      <c r="N61" s="76"/>
    </row>
    <row r="62" spans="1:14">
      <c r="A62" s="32"/>
      <c r="B62" s="72"/>
      <c r="C62" s="72"/>
      <c r="D62" s="72"/>
      <c r="E62" s="72"/>
      <c r="F62" s="72"/>
      <c r="G62" s="72"/>
      <c r="H62" s="21"/>
      <c r="I62" s="71"/>
      <c r="J62" s="71"/>
      <c r="K62" s="71"/>
      <c r="L62" s="71"/>
      <c r="M62" s="71"/>
      <c r="N62" s="76"/>
    </row>
    <row r="63" spans="1:14">
      <c r="A63" s="32"/>
      <c r="B63" s="122" t="str">
        <f>IF(E11 = "no","First 8,000 Volt Amps counted at 100%","First 10,000 Volt Amps counted at 100%")</f>
        <v>First 10,000 Volt Amps counted at 100%</v>
      </c>
      <c r="C63" s="122"/>
      <c r="D63" s="122"/>
      <c r="E63" s="21">
        <f>IF(E11="no",8000,10000)</f>
        <v>10000</v>
      </c>
      <c r="F63" s="21"/>
      <c r="G63" s="7">
        <f>IF(G61&gt;E63,E63,G61)</f>
        <v>0</v>
      </c>
      <c r="H63" s="21" t="s">
        <v>61</v>
      </c>
      <c r="I63" s="71"/>
      <c r="J63" s="71"/>
      <c r="K63" s="71"/>
      <c r="L63" s="71"/>
      <c r="M63" s="71"/>
      <c r="N63" s="76"/>
    </row>
    <row r="64" spans="1:14">
      <c r="A64" s="32"/>
      <c r="B64" s="120" t="str">
        <f>"Remaining General Service Load at 40% (Box 3 - "&amp;E63&amp;") x 40%"</f>
        <v>Remaining General Service Load at 40% (Box 3 - 10000) x 40%</v>
      </c>
      <c r="C64" s="120"/>
      <c r="D64" s="120"/>
      <c r="E64" s="120"/>
      <c r="F64" s="121"/>
      <c r="G64" s="7">
        <f>(G61-G63)*0.4</f>
        <v>0</v>
      </c>
      <c r="H64" s="21" t="s">
        <v>62</v>
      </c>
      <c r="I64" s="71"/>
      <c r="J64" s="71"/>
      <c r="K64" s="71"/>
      <c r="L64" s="71"/>
      <c r="M64" s="71"/>
      <c r="N64" s="76"/>
    </row>
    <row r="65" spans="1:14">
      <c r="A65" s="32"/>
      <c r="B65" s="83" t="s">
        <v>87</v>
      </c>
      <c r="C65" s="83"/>
      <c r="D65" s="83"/>
      <c r="E65" s="83"/>
      <c r="F65" s="84"/>
      <c r="G65" s="7">
        <f>M24</f>
        <v>0</v>
      </c>
      <c r="H65" s="21" t="s">
        <v>63</v>
      </c>
      <c r="I65" s="71"/>
      <c r="J65" s="71"/>
      <c r="K65" s="71"/>
      <c r="L65" s="71"/>
      <c r="M65" s="71"/>
      <c r="N65" s="76"/>
    </row>
    <row r="66" spans="1:14">
      <c r="A66" s="32"/>
      <c r="B66" s="72"/>
      <c r="C66" s="72"/>
      <c r="D66" s="72"/>
      <c r="E66" s="72"/>
      <c r="F66" s="72"/>
      <c r="G66" s="72"/>
      <c r="H66" s="21"/>
      <c r="I66" s="71"/>
      <c r="J66" s="71"/>
      <c r="K66" s="71"/>
      <c r="L66" s="71"/>
      <c r="M66" s="71"/>
      <c r="N66" s="76"/>
    </row>
    <row r="67" spans="1:14">
      <c r="A67" s="32"/>
      <c r="B67" s="122" t="s">
        <v>88</v>
      </c>
      <c r="C67" s="122"/>
      <c r="D67" s="122"/>
      <c r="E67" s="122"/>
      <c r="F67" s="123"/>
      <c r="G67" s="6">
        <f>G63+G64+G65</f>
        <v>0</v>
      </c>
      <c r="H67" s="21" t="s">
        <v>64</v>
      </c>
      <c r="I67" s="71"/>
      <c r="J67" s="71"/>
      <c r="K67" s="71"/>
      <c r="L67" s="71"/>
      <c r="M67" s="71"/>
      <c r="N67" s="76"/>
    </row>
    <row r="68" spans="1:14">
      <c r="A68" s="32"/>
      <c r="B68" s="72"/>
      <c r="C68" s="72"/>
      <c r="D68" s="72"/>
      <c r="E68" s="72"/>
      <c r="F68" s="72"/>
      <c r="G68" s="72"/>
      <c r="H68" s="72"/>
      <c r="I68" s="71"/>
      <c r="J68" s="71"/>
      <c r="K68" s="71"/>
      <c r="L68" s="71"/>
      <c r="M68" s="71"/>
      <c r="N68" s="76"/>
    </row>
    <row r="69" spans="1:14">
      <c r="A69" s="32"/>
      <c r="B69" s="77" t="s">
        <v>89</v>
      </c>
      <c r="C69" s="77"/>
      <c r="D69" s="77"/>
      <c r="E69" s="77"/>
      <c r="F69" s="78"/>
      <c r="G69" s="8">
        <f>G67/240</f>
        <v>0</v>
      </c>
      <c r="H69" s="21" t="s">
        <v>65</v>
      </c>
      <c r="I69" s="71"/>
      <c r="J69" s="71"/>
      <c r="K69" s="71"/>
      <c r="L69" s="71"/>
      <c r="M69" s="71"/>
      <c r="N69" s="76"/>
    </row>
    <row r="70" spans="1:14" ht="16.5" thickBot="1">
      <c r="A70" s="32"/>
      <c r="B70" s="79"/>
      <c r="C70" s="79"/>
      <c r="D70" s="79"/>
      <c r="E70" s="79"/>
      <c r="F70" s="79"/>
      <c r="G70" s="79"/>
      <c r="H70" s="79"/>
      <c r="I70" s="71"/>
      <c r="J70" s="71"/>
      <c r="K70" s="71"/>
      <c r="L70" s="71"/>
      <c r="M70" s="71"/>
      <c r="N70" s="76"/>
    </row>
    <row r="71" spans="1:14" ht="16.5" thickBot="1">
      <c r="A71" s="32"/>
      <c r="B71" s="80" t="s">
        <v>90</v>
      </c>
      <c r="C71" s="80"/>
      <c r="D71" s="80"/>
      <c r="E71" s="80"/>
      <c r="F71" s="81"/>
      <c r="G71" s="47"/>
      <c r="H71" s="21" t="s">
        <v>66</v>
      </c>
      <c r="I71" s="71"/>
      <c r="J71" s="71"/>
      <c r="K71" s="71"/>
      <c r="L71" s="71"/>
      <c r="M71" s="71"/>
      <c r="N71" s="76"/>
    </row>
    <row r="72" spans="1:14" ht="10.15" customHeight="1" thickBot="1">
      <c r="A72" s="32"/>
      <c r="B72" s="71"/>
      <c r="C72" s="71"/>
      <c r="D72" s="71"/>
      <c r="E72" s="71"/>
      <c r="F72" s="71"/>
      <c r="G72" s="71"/>
      <c r="H72" s="29"/>
      <c r="I72" s="82"/>
      <c r="J72" s="71"/>
      <c r="K72" s="71"/>
      <c r="L72" s="71"/>
      <c r="M72" s="71"/>
      <c r="N72" s="76"/>
    </row>
    <row r="73" spans="1:14">
      <c r="A73" s="32"/>
      <c r="B73" s="72"/>
      <c r="C73" s="73"/>
      <c r="D73" s="61" t="str">
        <f>IF(G71&gt;G69,"You do not need to upgrade your service panel", "You need to upgrade your service panel")</f>
        <v>You need to upgrade your service panel</v>
      </c>
      <c r="E73" s="62"/>
      <c r="F73" s="62"/>
      <c r="G73" s="62"/>
      <c r="H73" s="62"/>
      <c r="I73" s="63"/>
      <c r="J73" s="72"/>
      <c r="K73" s="72"/>
      <c r="L73" s="72"/>
      <c r="M73" s="72"/>
      <c r="N73" s="73"/>
    </row>
    <row r="74" spans="1:14">
      <c r="A74" s="32"/>
      <c r="B74" s="72"/>
      <c r="C74" s="73"/>
      <c r="D74" s="64"/>
      <c r="E74" s="65"/>
      <c r="F74" s="65"/>
      <c r="G74" s="65"/>
      <c r="H74" s="65"/>
      <c r="I74" s="66"/>
      <c r="J74" s="72"/>
      <c r="K74" s="72"/>
      <c r="L74" s="72"/>
      <c r="M74" s="72"/>
      <c r="N74" s="73"/>
    </row>
    <row r="75" spans="1:14" ht="22.15" customHeight="1" thickBot="1">
      <c r="A75" s="32"/>
      <c r="B75" s="72"/>
      <c r="C75" s="73"/>
      <c r="D75" s="58" t="str">
        <f>IF(G71-G69&gt;0,"","Service panel upgrade is required!")</f>
        <v>Service panel upgrade is required!</v>
      </c>
      <c r="E75" s="59"/>
      <c r="F75" s="59"/>
      <c r="G75" s="59"/>
      <c r="H75" s="59"/>
      <c r="I75" s="60"/>
      <c r="J75" s="72"/>
      <c r="K75" s="72"/>
      <c r="L75" s="72"/>
      <c r="M75" s="72"/>
      <c r="N75" s="73"/>
    </row>
    <row r="76" spans="1:14" ht="27.6" customHeight="1">
      <c r="A76" s="32"/>
      <c r="B76" s="55" t="s">
        <v>67</v>
      </c>
      <c r="C76" s="56" t="s">
        <v>68</v>
      </c>
      <c r="D76" s="56"/>
      <c r="E76" s="57"/>
      <c r="J76" s="72"/>
      <c r="K76" s="72"/>
      <c r="L76" s="72"/>
      <c r="M76" s="72"/>
      <c r="N76" s="73"/>
    </row>
    <row r="77" spans="1:14" ht="12" customHeight="1" thickBot="1">
      <c r="A77" s="33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5"/>
    </row>
  </sheetData>
  <sheetProtection algorithmName="SHA-512" hashValue="5tQ7KrfkdCsC+gfhAAuAhptFWBwuI883vPfXRrrCG6hdxiEzAxulgEVL3YQluySAMm67AkHuRlaVA1kNVLG16g==" saltValue="5cRYDLbtNypBtK10SU0FqQ==" spinCount="100000" sheet="1" objects="1" scenarios="1" selectLockedCells="1"/>
  <sortState xmlns:xlrd2="http://schemas.microsoft.com/office/spreadsheetml/2017/richdata2" ref="P15:P38">
    <sortCondition ref="P15:P38"/>
  </sortState>
  <mergeCells count="86">
    <mergeCell ref="B10:N10"/>
    <mergeCell ref="B6:K6"/>
    <mergeCell ref="B12:N12"/>
    <mergeCell ref="H40:N40"/>
    <mergeCell ref="B62:G62"/>
    <mergeCell ref="B45:C45"/>
    <mergeCell ref="B46:C46"/>
    <mergeCell ref="B47:C47"/>
    <mergeCell ref="B48:C48"/>
    <mergeCell ref="B49:C49"/>
    <mergeCell ref="B20:C20"/>
    <mergeCell ref="B22:C22"/>
    <mergeCell ref="B44:C44"/>
    <mergeCell ref="B27:C27"/>
    <mergeCell ref="B14:C14"/>
    <mergeCell ref="B15:C15"/>
    <mergeCell ref="B64:F64"/>
    <mergeCell ref="B63:D63"/>
    <mergeCell ref="B66:G66"/>
    <mergeCell ref="B68:H68"/>
    <mergeCell ref="B67:F67"/>
    <mergeCell ref="B50:C50"/>
    <mergeCell ref="B51:C51"/>
    <mergeCell ref="B52:G54"/>
    <mergeCell ref="B55:C55"/>
    <mergeCell ref="B56:N56"/>
    <mergeCell ref="B16:C16"/>
    <mergeCell ref="B17:C17"/>
    <mergeCell ref="B18:C18"/>
    <mergeCell ref="B19:C19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A1:N1"/>
    <mergeCell ref="C5:N5"/>
    <mergeCell ref="F7:G7"/>
    <mergeCell ref="I7:J7"/>
    <mergeCell ref="N6:N9"/>
    <mergeCell ref="B4:N4"/>
    <mergeCell ref="F9:G9"/>
    <mergeCell ref="F8:G8"/>
    <mergeCell ref="I8:J8"/>
    <mergeCell ref="I9:J9"/>
    <mergeCell ref="B7:D7"/>
    <mergeCell ref="B8:D8"/>
    <mergeCell ref="B9:D9"/>
    <mergeCell ref="J2:N3"/>
    <mergeCell ref="H11:K11"/>
    <mergeCell ref="H24:K24"/>
    <mergeCell ref="C2:I2"/>
    <mergeCell ref="C3:I3"/>
    <mergeCell ref="H44:K44"/>
    <mergeCell ref="B42:N42"/>
    <mergeCell ref="B21:N21"/>
    <mergeCell ref="F11:G11"/>
    <mergeCell ref="B11:D11"/>
    <mergeCell ref="B40:G41"/>
    <mergeCell ref="B23:G25"/>
    <mergeCell ref="H25:N25"/>
    <mergeCell ref="H14:K14"/>
    <mergeCell ref="H27:K27"/>
    <mergeCell ref="B28:C28"/>
    <mergeCell ref="B29:C29"/>
    <mergeCell ref="D75:I75"/>
    <mergeCell ref="D73:I74"/>
    <mergeCell ref="B61:F61"/>
    <mergeCell ref="B58:N58"/>
    <mergeCell ref="B59:F59"/>
    <mergeCell ref="B60:F60"/>
    <mergeCell ref="B72:G72"/>
    <mergeCell ref="B73:C75"/>
    <mergeCell ref="J73:N77"/>
    <mergeCell ref="B77:I77"/>
    <mergeCell ref="J59:N72"/>
    <mergeCell ref="B69:F69"/>
    <mergeCell ref="B70:H70"/>
    <mergeCell ref="B71:F71"/>
    <mergeCell ref="I59:I72"/>
    <mergeCell ref="B65:F65"/>
  </mergeCells>
  <dataValidations disablePrompts="1" count="2">
    <dataValidation type="list" allowBlank="1" showInputMessage="1" showErrorMessage="1" sqref="E11" xr:uid="{C02EC9F0-A899-4256-BF18-6F6CCD10DB55}">
      <formula1>$P$11:$P$12</formula1>
    </dataValidation>
    <dataValidation type="list" allowBlank="1" showInputMessage="1" showErrorMessage="1" sqref="D15:D20 D45:D51 D31:D38 D28 D22 D55" xr:uid="{0A62331D-E78E-43B7-8E29-60E673CF33EB}">
      <formula1>$P$15:$P$38</formula1>
    </dataValidation>
  </dataValidations>
  <pageMargins left="0.2" right="0.2" top="0.5" bottom="0.25" header="0.3" footer="0.3"/>
  <pageSetup scale="57" fitToWidth="0" orientation="portrait" r:id="rId1"/>
  <headerFooter>
    <oddHeader>&amp;L&amp;G&amp;C&amp;"-,Bold"&amp;16RESIDENTIAL ELECTRIC LOAD CALCULATION
(SIMPLE METHOD)&amp;RRevision Date: 10/08/2024</oddHeader>
  </headerFooter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06F6-C6E6-4B72-8EDB-481F7BE2E5AF}">
  <dimension ref="A1:B28"/>
  <sheetViews>
    <sheetView workbookViewId="0">
      <selection activeCell="B30" sqref="B30"/>
    </sheetView>
  </sheetViews>
  <sheetFormatPr defaultRowHeight="15.75"/>
  <cols>
    <col min="1" max="1" width="25.375" bestFit="1" customWidth="1"/>
  </cols>
  <sheetData>
    <row r="1" spans="1:2">
      <c r="A1" t="s">
        <v>81</v>
      </c>
      <c r="B1" t="s">
        <v>82</v>
      </c>
    </row>
    <row r="2" spans="1:2">
      <c r="A2" s="21" t="s">
        <v>18</v>
      </c>
      <c r="B2" s="53">
        <f>'Corrected load calculations'!L15</f>
        <v>0</v>
      </c>
    </row>
    <row r="3" spans="1:2">
      <c r="A3" s="21" t="s">
        <v>20</v>
      </c>
      <c r="B3" s="53">
        <f>'Corrected load calculations'!L16</f>
        <v>0</v>
      </c>
    </row>
    <row r="4" spans="1:2">
      <c r="A4" s="21" t="s">
        <v>21</v>
      </c>
      <c r="B4" s="53">
        <f>'Corrected load calculations'!L17</f>
        <v>0</v>
      </c>
    </row>
    <row r="5" spans="1:2">
      <c r="A5" s="21" t="s">
        <v>22</v>
      </c>
      <c r="B5" s="53">
        <f>'Corrected load calculations'!L18</f>
        <v>0</v>
      </c>
    </row>
    <row r="6" spans="1:2">
      <c r="A6" s="21" t="s">
        <v>23</v>
      </c>
      <c r="B6" s="53">
        <f>'Corrected load calculations'!L19</f>
        <v>0</v>
      </c>
    </row>
    <row r="7" spans="1:2">
      <c r="A7" s="21" t="s">
        <v>24</v>
      </c>
      <c r="B7" s="53">
        <f>'Corrected load calculations'!L20</f>
        <v>0</v>
      </c>
    </row>
    <row r="8" spans="1:2">
      <c r="A8" s="21" t="s">
        <v>25</v>
      </c>
      <c r="B8" s="53">
        <f>'Corrected load calculations'!L22</f>
        <v>0</v>
      </c>
    </row>
    <row r="9" spans="1:2">
      <c r="A9" t="s">
        <v>31</v>
      </c>
      <c r="B9" s="53">
        <f>'Corrected load calculations'!L28</f>
        <v>0</v>
      </c>
    </row>
    <row r="10" spans="1:2">
      <c r="A10" t="s">
        <v>33</v>
      </c>
      <c r="B10" s="53">
        <f>'Corrected load calculations'!L29</f>
        <v>0</v>
      </c>
    </row>
    <row r="11" spans="1:2">
      <c r="A11" t="s">
        <v>34</v>
      </c>
      <c r="B11" s="53">
        <f>'Corrected load calculations'!L30</f>
        <v>0</v>
      </c>
    </row>
    <row r="12" spans="1:2">
      <c r="A12" t="s">
        <v>35</v>
      </c>
      <c r="B12" s="53">
        <f>'Corrected load calculations'!L31</f>
        <v>0</v>
      </c>
    </row>
    <row r="13" spans="1:2">
      <c r="A13" t="s">
        <v>36</v>
      </c>
      <c r="B13" s="53">
        <f>'Corrected load calculations'!L32</f>
        <v>0</v>
      </c>
    </row>
    <row r="14" spans="1:2">
      <c r="A14" s="37" t="s">
        <v>37</v>
      </c>
      <c r="B14" s="53">
        <f>'Corrected load calculations'!L33</f>
        <v>0</v>
      </c>
    </row>
    <row r="15" spans="1:2">
      <c r="A15" t="s">
        <v>38</v>
      </c>
      <c r="B15" s="53">
        <f>'Corrected load calculations'!L34</f>
        <v>0</v>
      </c>
    </row>
    <row r="16" spans="1:2">
      <c r="A16" t="s">
        <v>39</v>
      </c>
      <c r="B16" s="53">
        <f>'Corrected load calculations'!L35</f>
        <v>0</v>
      </c>
    </row>
    <row r="17" spans="1:2">
      <c r="A17" t="s">
        <v>40</v>
      </c>
      <c r="B17" s="53">
        <f>'Corrected load calculations'!L36</f>
        <v>0</v>
      </c>
    </row>
    <row r="18" spans="1:2">
      <c r="A18" t="s">
        <v>41</v>
      </c>
      <c r="B18" s="53">
        <f>'Corrected load calculations'!L37</f>
        <v>0</v>
      </c>
    </row>
    <row r="19" spans="1:2">
      <c r="A19" t="s">
        <v>42</v>
      </c>
      <c r="B19" s="53">
        <f>'Corrected load calculations'!L38</f>
        <v>0</v>
      </c>
    </row>
    <row r="20" spans="1:2">
      <c r="A20" t="s">
        <v>43</v>
      </c>
      <c r="B20" s="53">
        <f>'Corrected load calculations'!L39</f>
        <v>0</v>
      </c>
    </row>
    <row r="21" spans="1:2">
      <c r="A21" t="s">
        <v>47</v>
      </c>
      <c r="B21" s="53">
        <f>'Corrected load calculations'!L45</f>
        <v>0</v>
      </c>
    </row>
    <row r="22" spans="1:2">
      <c r="A22" t="s">
        <v>48</v>
      </c>
      <c r="B22" s="53">
        <f>'Corrected load calculations'!L46</f>
        <v>0</v>
      </c>
    </row>
    <row r="23" spans="1:2">
      <c r="A23" t="s">
        <v>49</v>
      </c>
      <c r="B23" s="53">
        <f>'Corrected load calculations'!L47</f>
        <v>0</v>
      </c>
    </row>
    <row r="24" spans="1:2">
      <c r="A24" t="s">
        <v>50</v>
      </c>
      <c r="B24" s="53">
        <f>'Corrected load calculations'!L48</f>
        <v>0</v>
      </c>
    </row>
    <row r="25" spans="1:2">
      <c r="A25" t="s">
        <v>51</v>
      </c>
      <c r="B25" s="53">
        <f>'Corrected load calculations'!L49</f>
        <v>0</v>
      </c>
    </row>
    <row r="26" spans="1:2">
      <c r="A26" t="s">
        <v>52</v>
      </c>
      <c r="B26" s="53">
        <f>'Corrected load calculations'!L50</f>
        <v>0</v>
      </c>
    </row>
    <row r="27" spans="1:2">
      <c r="A27" t="s">
        <v>53</v>
      </c>
      <c r="B27" s="53">
        <f>'Corrected load calculations'!L51</f>
        <v>0</v>
      </c>
    </row>
    <row r="28" spans="1:2">
      <c r="A28" t="s">
        <v>55</v>
      </c>
      <c r="B28" s="53">
        <f>'Corrected load calculations'!L55</f>
        <v>0</v>
      </c>
    </row>
  </sheetData>
  <sheetProtection algorithmName="SHA-512" hashValue="64mOvw3DBhSzultBMXZzKCHd2j0x7Nn/rLeusGNNi6qMQzcQnAal6aA/sBDhjwNSS6XwSP6OwBx76VGHph5UUA==" saltValue="lTUuv4LqbIjeXphpIy0TZ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Corrected load calculations</vt:lpstr>
      <vt:lpstr>Sheet1</vt:lpstr>
      <vt:lpstr>'Corrected load calculations'!Print_Area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Coale</dc:creator>
  <cp:lastModifiedBy>Setiawan, Jessica</cp:lastModifiedBy>
  <cp:lastPrinted>2024-10-09T14:36:52Z</cp:lastPrinted>
  <dcterms:created xsi:type="dcterms:W3CDTF">2023-02-24T18:49:23Z</dcterms:created>
  <dcterms:modified xsi:type="dcterms:W3CDTF">2024-10-09T15:09:05Z</dcterms:modified>
</cp:coreProperties>
</file>